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NRY GUIN EPUNEMI\Desktop\"/>
    </mc:Choice>
  </mc:AlternateContent>
  <bookViews>
    <workbookView xWindow="0" yWindow="0" windowWidth="24000" windowHeight="8835"/>
  </bookViews>
  <sheets>
    <sheet name="CONJUNTO DE DAT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L73" i="1" s="1"/>
  <c r="H73" i="1"/>
  <c r="G73" i="1"/>
  <c r="L72" i="1"/>
  <c r="I72" i="1"/>
  <c r="H72" i="1"/>
  <c r="G72" i="1"/>
  <c r="I71" i="1"/>
  <c r="H71" i="1"/>
  <c r="L71" i="1" s="1"/>
  <c r="I70" i="1"/>
  <c r="H70" i="1"/>
  <c r="L70" i="1" s="1"/>
  <c r="I69" i="1"/>
  <c r="H69" i="1"/>
  <c r="L69" i="1" s="1"/>
  <c r="I68" i="1"/>
  <c r="H68" i="1"/>
  <c r="L68" i="1" s="1"/>
  <c r="G68" i="1"/>
  <c r="I67" i="1"/>
  <c r="H67" i="1"/>
  <c r="L67" i="1" s="1"/>
  <c r="G67" i="1"/>
  <c r="I66" i="1"/>
  <c r="L66" i="1" s="1"/>
  <c r="H66" i="1"/>
  <c r="G66" i="1"/>
  <c r="L65" i="1"/>
  <c r="I65" i="1"/>
  <c r="H65" i="1"/>
  <c r="G65" i="1"/>
  <c r="I64" i="1"/>
  <c r="H64" i="1"/>
  <c r="L64" i="1" s="1"/>
  <c r="I63" i="1"/>
  <c r="H63" i="1"/>
  <c r="L63" i="1" s="1"/>
  <c r="G63" i="1"/>
  <c r="I62" i="1"/>
  <c r="H62" i="1"/>
  <c r="L62" i="1" s="1"/>
  <c r="G62" i="1"/>
  <c r="I61" i="1"/>
  <c r="L61" i="1" s="1"/>
  <c r="H61" i="1"/>
  <c r="G61" i="1"/>
  <c r="L60" i="1"/>
  <c r="I60" i="1"/>
  <c r="H60" i="1"/>
  <c r="G60" i="1"/>
  <c r="I59" i="1"/>
  <c r="H59" i="1"/>
  <c r="L59" i="1" s="1"/>
  <c r="G59" i="1"/>
  <c r="I58" i="1"/>
  <c r="H58" i="1"/>
  <c r="L58" i="1" s="1"/>
  <c r="G58" i="1"/>
  <c r="I57" i="1"/>
  <c r="L57" i="1" s="1"/>
  <c r="H57" i="1"/>
  <c r="G57" i="1"/>
  <c r="L56" i="1"/>
  <c r="I56" i="1"/>
  <c r="H56" i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L55" i="1"/>
  <c r="I55" i="1"/>
  <c r="H55" i="1"/>
  <c r="I54" i="1"/>
  <c r="L54" i="1" s="1"/>
  <c r="H54" i="1"/>
  <c r="G54" i="1"/>
  <c r="I53" i="1"/>
  <c r="L53" i="1" s="1"/>
  <c r="H53" i="1"/>
  <c r="G53" i="1"/>
  <c r="L52" i="1"/>
  <c r="I52" i="1"/>
  <c r="H52" i="1"/>
  <c r="L51" i="1"/>
  <c r="I51" i="1"/>
  <c r="H51" i="1"/>
  <c r="G51" i="1"/>
  <c r="I50" i="1"/>
  <c r="H50" i="1"/>
  <c r="L50" i="1" s="1"/>
  <c r="G50" i="1"/>
  <c r="I49" i="1"/>
  <c r="H49" i="1"/>
  <c r="L49" i="1" s="1"/>
  <c r="G49" i="1"/>
  <c r="I48" i="1"/>
  <c r="L48" i="1" s="1"/>
  <c r="H48" i="1"/>
  <c r="G48" i="1"/>
  <c r="L47" i="1"/>
  <c r="I47" i="1"/>
  <c r="H47" i="1"/>
  <c r="G47" i="1"/>
  <c r="I46" i="1"/>
  <c r="H46" i="1"/>
  <c r="L46" i="1" s="1"/>
  <c r="G46" i="1"/>
  <c r="I45" i="1"/>
  <c r="H45" i="1"/>
  <c r="L45" i="1" s="1"/>
  <c r="G45" i="1"/>
  <c r="I44" i="1"/>
  <c r="L44" i="1" s="1"/>
  <c r="H44" i="1"/>
  <c r="G44" i="1"/>
  <c r="L43" i="1"/>
  <c r="I43" i="1"/>
  <c r="H43" i="1"/>
  <c r="L42" i="1"/>
  <c r="I42" i="1"/>
  <c r="H42" i="1"/>
  <c r="G42" i="1"/>
  <c r="I41" i="1"/>
  <c r="H41" i="1"/>
  <c r="L41" i="1" s="1"/>
  <c r="G41" i="1"/>
  <c r="I40" i="1"/>
  <c r="H40" i="1"/>
  <c r="L40" i="1" s="1"/>
  <c r="G40" i="1"/>
  <c r="I39" i="1"/>
  <c r="L39" i="1" s="1"/>
  <c r="H39" i="1"/>
  <c r="G39" i="1"/>
  <c r="L38" i="1"/>
  <c r="I38" i="1"/>
  <c r="H38" i="1"/>
  <c r="G38" i="1"/>
  <c r="I37" i="1"/>
  <c r="H37" i="1"/>
  <c r="L37" i="1" s="1"/>
  <c r="G37" i="1"/>
  <c r="I36" i="1"/>
  <c r="H36" i="1"/>
  <c r="L36" i="1" s="1"/>
  <c r="G36" i="1"/>
  <c r="I35" i="1"/>
  <c r="L35" i="1" s="1"/>
  <c r="H35" i="1"/>
  <c r="I34" i="1"/>
  <c r="L34" i="1" s="1"/>
  <c r="H34" i="1"/>
  <c r="G34" i="1"/>
  <c r="L33" i="1"/>
  <c r="I33" i="1"/>
  <c r="H33" i="1"/>
  <c r="G33" i="1"/>
  <c r="I32" i="1"/>
  <c r="H32" i="1"/>
  <c r="L32" i="1" s="1"/>
  <c r="G32" i="1"/>
  <c r="I31" i="1"/>
  <c r="H31" i="1"/>
  <c r="L31" i="1" s="1"/>
  <c r="G31" i="1"/>
  <c r="L30" i="1"/>
  <c r="G30" i="1"/>
  <c r="I29" i="1"/>
  <c r="H29" i="1"/>
  <c r="L29" i="1" s="1"/>
  <c r="G29" i="1"/>
  <c r="I28" i="1"/>
  <c r="L28" i="1" s="1"/>
  <c r="H28" i="1"/>
  <c r="G28" i="1"/>
  <c r="L27" i="1"/>
  <c r="I27" i="1"/>
  <c r="H27" i="1"/>
  <c r="L26" i="1"/>
  <c r="I26" i="1"/>
  <c r="H26" i="1"/>
  <c r="G26" i="1"/>
  <c r="I25" i="1"/>
  <c r="H25" i="1"/>
  <c r="L25" i="1" s="1"/>
  <c r="G25" i="1"/>
  <c r="I24" i="1"/>
  <c r="H24" i="1"/>
  <c r="L24" i="1" s="1"/>
  <c r="G24" i="1"/>
  <c r="I23" i="1"/>
  <c r="L23" i="1" s="1"/>
  <c r="H23" i="1"/>
  <c r="G23" i="1"/>
  <c r="L22" i="1"/>
  <c r="I22" i="1"/>
  <c r="H22" i="1"/>
  <c r="G22" i="1"/>
  <c r="I21" i="1"/>
  <c r="H21" i="1"/>
  <c r="L21" i="1" s="1"/>
  <c r="G21" i="1"/>
  <c r="I20" i="1"/>
  <c r="H20" i="1"/>
  <c r="L20" i="1" s="1"/>
  <c r="G20" i="1"/>
  <c r="I19" i="1"/>
  <c r="L19" i="1" s="1"/>
  <c r="H19" i="1"/>
  <c r="G19" i="1"/>
  <c r="L18" i="1"/>
  <c r="I18" i="1"/>
  <c r="H18" i="1"/>
  <c r="G18" i="1"/>
  <c r="I17" i="1"/>
  <c r="H17" i="1"/>
  <c r="L17" i="1" s="1"/>
  <c r="G17" i="1"/>
  <c r="I16" i="1"/>
  <c r="H16" i="1"/>
  <c r="L16" i="1" s="1"/>
  <c r="I15" i="1"/>
  <c r="H15" i="1"/>
  <c r="L15" i="1" s="1"/>
  <c r="G15" i="1"/>
  <c r="I14" i="1"/>
  <c r="L14" i="1" s="1"/>
  <c r="H14" i="1"/>
  <c r="G14" i="1"/>
  <c r="L13" i="1"/>
  <c r="I13" i="1"/>
  <c r="H13" i="1"/>
  <c r="G13" i="1"/>
  <c r="I12" i="1"/>
  <c r="H12" i="1"/>
  <c r="L12" i="1" s="1"/>
  <c r="G12" i="1"/>
  <c r="I11" i="1"/>
  <c r="H11" i="1"/>
  <c r="L11" i="1" s="1"/>
  <c r="I10" i="1"/>
  <c r="H10" i="1"/>
  <c r="L10" i="1" s="1"/>
  <c r="G10" i="1"/>
  <c r="I9" i="1"/>
  <c r="L9" i="1" s="1"/>
  <c r="H9" i="1"/>
  <c r="G9" i="1"/>
  <c r="L8" i="1"/>
  <c r="I8" i="1"/>
  <c r="H8" i="1"/>
  <c r="G8" i="1"/>
  <c r="I7" i="1"/>
  <c r="H7" i="1"/>
  <c r="L7" i="1" s="1"/>
  <c r="G7" i="1"/>
  <c r="I6" i="1"/>
  <c r="H6" i="1"/>
  <c r="L6" i="1" s="1"/>
  <c r="G6" i="1"/>
  <c r="I5" i="1"/>
  <c r="L5" i="1" s="1"/>
  <c r="H5" i="1"/>
  <c r="G5" i="1"/>
  <c r="L4" i="1"/>
  <c r="I4" i="1"/>
  <c r="H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L3" i="1"/>
  <c r="I3" i="1"/>
  <c r="H3" i="1"/>
  <c r="G3" i="1"/>
  <c r="L2" i="1"/>
  <c r="I2" i="1"/>
  <c r="H2" i="1"/>
  <c r="G2" i="1"/>
</calcChain>
</file>

<file path=xl/sharedStrings.xml><?xml version="1.0" encoding="utf-8"?>
<sst xmlns="http://schemas.openxmlformats.org/spreadsheetml/2006/main" count="290" uniqueCount="87">
  <si>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</si>
  <si>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</si>
  <si>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</si>
  <si>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</si>
  <si>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</si>
  <si>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</si>
  <si>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</si>
  <si>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</si>
  <si>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</si>
  <si>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</si>
  <si>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</si>
  <si>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</si>
  <si>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VENDEDOR </t>
  </si>
  <si>
    <t xml:space="preserve"> LEY ORGANICA DE EMPRESAS PUBLICAS</t>
  </si>
  <si>
    <t>2023.51.05.10</t>
  </si>
  <si>
    <t>SPA4</t>
  </si>
  <si>
    <t>INSTRUCTOR</t>
  </si>
  <si>
    <t xml:space="preserve">ASISTENTE DE GESTION ADMINISTRATIVA DE CFAE 1 </t>
  </si>
  <si>
    <t>SP2</t>
  </si>
  <si>
    <t>VENDEDOR CORPORATIVO</t>
  </si>
  <si>
    <t>ANALISTA DE COBRANZAS 1</t>
  </si>
  <si>
    <t>SP3</t>
  </si>
  <si>
    <t xml:space="preserve">INSTRUCTOR </t>
  </si>
  <si>
    <t>JEFE DE VENTAS DE CFAE</t>
  </si>
  <si>
    <t>SP5</t>
  </si>
  <si>
    <t>CONSERJE</t>
  </si>
  <si>
    <t>2023.51.05.02</t>
  </si>
  <si>
    <t>E1</t>
  </si>
  <si>
    <t>ANALISTA DE CURSOS TÉCNICOS 3</t>
  </si>
  <si>
    <t>ASISTENTE DE TESORERÍA 1</t>
  </si>
  <si>
    <t>DIRECTOR DE CFAE</t>
  </si>
  <si>
    <t>2023.51.05.05</t>
  </si>
  <si>
    <t>VENDEDOR (A) CORPORATIVO</t>
  </si>
  <si>
    <t xml:space="preserve">COORDINADOR (A) DE ASESORÍA JURÍDICA </t>
  </si>
  <si>
    <t>2023.51.01.10</t>
  </si>
  <si>
    <t>SP7</t>
  </si>
  <si>
    <t>ASISTENTE DE TALENTO HUMANO</t>
  </si>
  <si>
    <t>AUXILIAR CONTINGENTE 2 DE CONTABILIDAD</t>
  </si>
  <si>
    <t>GUARDIA</t>
  </si>
  <si>
    <t>CODIGO DE TRABAJO</t>
  </si>
  <si>
    <t>DIRECTOR DE COMPRAS PÚBLICAS</t>
  </si>
  <si>
    <t>DIRECTOR/A DE ECUNEMI</t>
  </si>
  <si>
    <t>VENDEDOR JUNIOR</t>
  </si>
  <si>
    <t>SPA2</t>
  </si>
  <si>
    <t>INSTRUCTOR SENIOR</t>
  </si>
  <si>
    <t>SP1</t>
  </si>
  <si>
    <t>SECRETARIA/O ECUNEMI</t>
  </si>
  <si>
    <t>ANALISTA DE BIENES Y SERVICIOS GENERALES 2</t>
  </si>
  <si>
    <t>SP4</t>
  </si>
  <si>
    <t xml:space="preserve">AUXILIAR CONTINGENTE 2 DE TECNOLOGÍA DE LA INFORMACIÓN  </t>
  </si>
  <si>
    <t>AUXILIAR CONTINGENTE 2 DE GESTIÓN ADMINISTRATIVA DE CFAE</t>
  </si>
  <si>
    <t>ASISTENTE DE GERENCIA 1</t>
  </si>
  <si>
    <t>ANALISTA JURIDICO DE COMPRAS PUBLICAS 3</t>
  </si>
  <si>
    <t xml:space="preserve">ASISTENTE DE RELACIONES PÚBLICAS 1 </t>
  </si>
  <si>
    <t>GERENTE GENERAL</t>
  </si>
  <si>
    <t>ASESOR DE GERENCIA 3</t>
  </si>
  <si>
    <t>SECRETARIA DE CFAE</t>
  </si>
  <si>
    <t>VENDEDOR/TELEVENDEDOR</t>
  </si>
  <si>
    <t>SPA1</t>
  </si>
  <si>
    <t>CONTADOR (A) GENERAL</t>
  </si>
  <si>
    <t>COORDINADOR DE VENTAS DE ECUNEMI</t>
  </si>
  <si>
    <t>DIRECTORA ADMINISTRATIVA FIANCIERA</t>
  </si>
  <si>
    <t>AUXILIAR CONTINGENTE 2 DE TECNOLOGÍA DE LA INFORMACIÓN</t>
  </si>
  <si>
    <t xml:space="preserve">ANALISTA DE GERENCIA 3 </t>
  </si>
  <si>
    <t>COORDINADOR DE GERENCIA</t>
  </si>
  <si>
    <t>ANALISTA DE PRESUPUESTO 3</t>
  </si>
  <si>
    <t>CAJERO/A 1</t>
  </si>
  <si>
    <t>CAJERO/A 2</t>
  </si>
  <si>
    <t>AUXILIAR CONTINGENTE 1 DE TALENTO HUMANO</t>
  </si>
  <si>
    <t xml:space="preserve">VENDEDOR/ TELEVENDEDOR </t>
  </si>
  <si>
    <t>COODINADOR(A) DE TALENTO HUMANO</t>
  </si>
  <si>
    <t>VENDEDOR</t>
  </si>
  <si>
    <t>AUXLIAR CONTINGENTE 2 DE PRESUPUESTO</t>
  </si>
  <si>
    <t>VENDEDOR/A</t>
  </si>
  <si>
    <t xml:space="preserve">ANALISTA PEDAGÓGICA </t>
  </si>
  <si>
    <t>DIRECTORA PEDAGÓGICA</t>
  </si>
  <si>
    <t>ANALISTA DE COMPRAS PÚBLICAS 3</t>
  </si>
  <si>
    <t>VENDEDOR/A  CORPORATIVO</t>
  </si>
  <si>
    <t>ANALISTA DE TALENTO HUMANO 3</t>
  </si>
  <si>
    <t>TESORERO (A) GENERAL</t>
  </si>
  <si>
    <t>ASESOR DE GERENCIA  2</t>
  </si>
  <si>
    <t>ANALISTA DE BIENES Y SERVICIOS GENERALES 3</t>
  </si>
  <si>
    <t>ANALISTA DE GESTIÓN ADMINISTRATIVA DE CFAE 3</t>
  </si>
  <si>
    <t xml:space="preserve">ASISTENTE ADMINISTRATIVO FINANCIERO </t>
  </si>
  <si>
    <t xml:space="preserve">ASISTENTE DE COBRANZAS 1 </t>
  </si>
  <si>
    <t>ASESOR TECNICO DE  EDUCACIÓN Y SEGURIDAD VIAL</t>
  </si>
  <si>
    <t>ANALISTA DE TECNOLOGÍA DE LA INFORMACIÓN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</si>
</sst>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indexed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7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/>
    <xf numFmtId="43" fontId="7" fillId="0" borderId="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7"/>
  <sheetViews>
    <sheetView tabSelected="1" workbookViewId="0">
      <selection activeCell="B12" sqref="B12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6.5" x14ac:dyDescent="0.25">
      <c r="A2" s="4">
        <v>1</v>
      </c>
      <c r="B2" s="5" t="s">
        <v>12</v>
      </c>
      <c r="C2" s="6" t="s">
        <v>13</v>
      </c>
      <c r="D2" s="7" t="s">
        <v>14</v>
      </c>
      <c r="E2" s="8" t="s">
        <v>15</v>
      </c>
      <c r="F2" s="9">
        <v>733</v>
      </c>
      <c r="G2" s="10">
        <f>F2*12</f>
        <v>8796</v>
      </c>
      <c r="H2" s="11">
        <f>(F2/12)*9</f>
        <v>549.75</v>
      </c>
      <c r="I2" s="11">
        <f>(450/360*30)*9</f>
        <v>337.5</v>
      </c>
      <c r="J2" s="10">
        <v>0</v>
      </c>
      <c r="K2" s="10">
        <v>0</v>
      </c>
      <c r="L2" s="11">
        <f>+SUM(H2:K2)</f>
        <v>887.25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20" customFormat="1" ht="16.5" x14ac:dyDescent="0.25">
      <c r="A3" s="12">
        <v>2</v>
      </c>
      <c r="B3" s="13" t="s">
        <v>16</v>
      </c>
      <c r="C3" s="14" t="s">
        <v>13</v>
      </c>
      <c r="D3" s="15" t="s">
        <v>14</v>
      </c>
      <c r="E3" s="16" t="s">
        <v>15</v>
      </c>
      <c r="F3" s="9">
        <v>733</v>
      </c>
      <c r="G3" s="17">
        <f>(733*4)+390.93</f>
        <v>3322.93</v>
      </c>
      <c r="H3" s="18">
        <f>32.58*2</f>
        <v>65.16</v>
      </c>
      <c r="I3" s="18">
        <f>20+37.5</f>
        <v>57.5</v>
      </c>
      <c r="J3" s="17">
        <v>0</v>
      </c>
      <c r="K3" s="17">
        <v>0</v>
      </c>
      <c r="L3" s="18">
        <f>H3+I3</f>
        <v>122.66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20" customFormat="1" ht="33" x14ac:dyDescent="0.25">
      <c r="A4" s="12">
        <f t="shared" ref="A4:A67" si="0">1+A3</f>
        <v>3</v>
      </c>
      <c r="B4" s="21" t="s">
        <v>17</v>
      </c>
      <c r="C4" s="14" t="s">
        <v>13</v>
      </c>
      <c r="D4" s="15" t="s">
        <v>14</v>
      </c>
      <c r="E4" s="16" t="s">
        <v>18</v>
      </c>
      <c r="F4" s="9">
        <v>901</v>
      </c>
      <c r="G4" s="17">
        <v>10812</v>
      </c>
      <c r="H4" s="18">
        <f>37.54+(75.08*8)</f>
        <v>638.17999999999995</v>
      </c>
      <c r="I4" s="18">
        <f>(450/360*15)+(37.5*8)</f>
        <v>318.75</v>
      </c>
      <c r="J4" s="17">
        <v>0</v>
      </c>
      <c r="K4" s="17">
        <v>0</v>
      </c>
      <c r="L4" s="18">
        <f t="shared" ref="L4:L8" si="1">+SUM(H4:K4)</f>
        <v>956.93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s="20" customFormat="1" ht="16.5" x14ac:dyDescent="0.25">
      <c r="A5" s="12">
        <f t="shared" si="0"/>
        <v>4</v>
      </c>
      <c r="B5" s="21" t="s">
        <v>19</v>
      </c>
      <c r="C5" s="14" t="s">
        <v>13</v>
      </c>
      <c r="D5" s="15" t="s">
        <v>14</v>
      </c>
      <c r="E5" s="16" t="s">
        <v>18</v>
      </c>
      <c r="F5" s="9">
        <v>901</v>
      </c>
      <c r="G5" s="17">
        <f>F5*12</f>
        <v>10812</v>
      </c>
      <c r="H5" s="18">
        <f t="shared" ref="H5:H10" si="2">(F5/12)*9</f>
        <v>675.75</v>
      </c>
      <c r="I5" s="18">
        <f t="shared" ref="I5:I10" si="3">(450/360*30)*9</f>
        <v>337.5</v>
      </c>
      <c r="J5" s="17">
        <v>0</v>
      </c>
      <c r="K5" s="17">
        <v>0</v>
      </c>
      <c r="L5" s="18">
        <f t="shared" si="1"/>
        <v>1013.25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s="20" customFormat="1" ht="16.5" x14ac:dyDescent="0.25">
      <c r="A6" s="12">
        <f t="shared" si="0"/>
        <v>5</v>
      </c>
      <c r="B6" s="13" t="s">
        <v>20</v>
      </c>
      <c r="C6" s="14" t="s">
        <v>13</v>
      </c>
      <c r="D6" s="15" t="s">
        <v>14</v>
      </c>
      <c r="E6" s="16" t="s">
        <v>21</v>
      </c>
      <c r="F6" s="9">
        <v>986</v>
      </c>
      <c r="G6" s="17">
        <f t="shared" ref="G6:G68" si="4">F6*12</f>
        <v>11832</v>
      </c>
      <c r="H6" s="18">
        <f t="shared" si="2"/>
        <v>739.5</v>
      </c>
      <c r="I6" s="18">
        <f t="shared" si="3"/>
        <v>337.5</v>
      </c>
      <c r="J6" s="17">
        <v>0</v>
      </c>
      <c r="K6" s="17">
        <v>0</v>
      </c>
      <c r="L6" s="18">
        <f t="shared" si="1"/>
        <v>1077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s="20" customFormat="1" ht="16.5" x14ac:dyDescent="0.25">
      <c r="A7" s="12">
        <f t="shared" si="0"/>
        <v>6</v>
      </c>
      <c r="B7" s="13" t="s">
        <v>22</v>
      </c>
      <c r="C7" s="14" t="s">
        <v>13</v>
      </c>
      <c r="D7" s="15" t="s">
        <v>14</v>
      </c>
      <c r="E7" s="16" t="s">
        <v>15</v>
      </c>
      <c r="F7" s="9">
        <v>733</v>
      </c>
      <c r="G7" s="17">
        <f t="shared" si="4"/>
        <v>8796</v>
      </c>
      <c r="H7" s="18">
        <f t="shared" si="2"/>
        <v>549.75</v>
      </c>
      <c r="I7" s="18">
        <f t="shared" si="3"/>
        <v>337.5</v>
      </c>
      <c r="J7" s="17">
        <v>0</v>
      </c>
      <c r="K7" s="17">
        <v>0</v>
      </c>
      <c r="L7" s="18">
        <f t="shared" si="1"/>
        <v>887.25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20" customFormat="1" ht="16.5" x14ac:dyDescent="0.25">
      <c r="A8" s="12">
        <f t="shared" si="0"/>
        <v>7</v>
      </c>
      <c r="B8" s="13" t="s">
        <v>23</v>
      </c>
      <c r="C8" s="14" t="s">
        <v>13</v>
      </c>
      <c r="D8" s="15" t="s">
        <v>14</v>
      </c>
      <c r="E8" s="16" t="s">
        <v>24</v>
      </c>
      <c r="F8" s="9">
        <v>1212</v>
      </c>
      <c r="G8" s="17">
        <f t="shared" si="4"/>
        <v>14544</v>
      </c>
      <c r="H8" s="18">
        <f t="shared" si="2"/>
        <v>909</v>
      </c>
      <c r="I8" s="18">
        <f t="shared" si="3"/>
        <v>337.5</v>
      </c>
      <c r="J8" s="17">
        <v>0</v>
      </c>
      <c r="K8" s="17">
        <v>0</v>
      </c>
      <c r="L8" s="18">
        <f t="shared" si="1"/>
        <v>1246.5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s="20" customFormat="1" ht="16.5" x14ac:dyDescent="0.25">
      <c r="A9" s="12">
        <f t="shared" si="0"/>
        <v>8</v>
      </c>
      <c r="B9" s="13" t="s">
        <v>25</v>
      </c>
      <c r="C9" s="22"/>
      <c r="D9" s="15" t="s">
        <v>26</v>
      </c>
      <c r="E9" s="16" t="s">
        <v>27</v>
      </c>
      <c r="F9" s="9">
        <v>561</v>
      </c>
      <c r="G9" s="17">
        <f t="shared" si="4"/>
        <v>6732</v>
      </c>
      <c r="H9" s="18">
        <f t="shared" si="2"/>
        <v>420.75</v>
      </c>
      <c r="I9" s="18">
        <f t="shared" si="3"/>
        <v>337.5</v>
      </c>
      <c r="J9" s="17">
        <v>0</v>
      </c>
      <c r="K9" s="17">
        <v>0</v>
      </c>
      <c r="L9" s="18">
        <f>H9+I9+J9+K9</f>
        <v>758.25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1:24" s="20" customFormat="1" ht="16.5" x14ac:dyDescent="0.25">
      <c r="A10" s="12">
        <f t="shared" si="0"/>
        <v>9</v>
      </c>
      <c r="B10" s="13" t="s">
        <v>28</v>
      </c>
      <c r="C10" s="14" t="s">
        <v>13</v>
      </c>
      <c r="D10" s="15" t="s">
        <v>14</v>
      </c>
      <c r="E10" s="16" t="s">
        <v>24</v>
      </c>
      <c r="F10" s="9">
        <v>1212</v>
      </c>
      <c r="G10" s="17">
        <f t="shared" si="4"/>
        <v>14544</v>
      </c>
      <c r="H10" s="18">
        <f t="shared" si="2"/>
        <v>909</v>
      </c>
      <c r="I10" s="18">
        <f t="shared" si="3"/>
        <v>337.5</v>
      </c>
      <c r="J10" s="17">
        <v>0</v>
      </c>
      <c r="K10" s="17">
        <v>0</v>
      </c>
      <c r="L10" s="18">
        <f t="shared" ref="L10:L42" si="5">+SUM(H10:K10)</f>
        <v>1246.5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s="20" customFormat="1" ht="16.5" x14ac:dyDescent="0.25">
      <c r="A11" s="12">
        <f t="shared" si="0"/>
        <v>10</v>
      </c>
      <c r="B11" s="13" t="s">
        <v>12</v>
      </c>
      <c r="C11" s="14" t="s">
        <v>13</v>
      </c>
      <c r="D11" s="15" t="s">
        <v>14</v>
      </c>
      <c r="E11" s="16" t="s">
        <v>15</v>
      </c>
      <c r="F11" s="9">
        <v>733</v>
      </c>
      <c r="G11" s="17">
        <v>8796</v>
      </c>
      <c r="H11" s="18">
        <f>52.94+(61.08*8)</f>
        <v>541.57999999999993</v>
      </c>
      <c r="I11" s="18">
        <f>(450/360*26)+(37.5*8)</f>
        <v>332.5</v>
      </c>
      <c r="J11" s="17">
        <v>0</v>
      </c>
      <c r="K11" s="17">
        <v>0</v>
      </c>
      <c r="L11" s="18">
        <f t="shared" si="5"/>
        <v>874.07999999999993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s="20" customFormat="1" ht="16.5" x14ac:dyDescent="0.25">
      <c r="A12" s="12">
        <f t="shared" si="0"/>
        <v>11</v>
      </c>
      <c r="B12" s="13" t="s">
        <v>29</v>
      </c>
      <c r="C12" s="14" t="s">
        <v>13</v>
      </c>
      <c r="D12" s="15" t="s">
        <v>14</v>
      </c>
      <c r="E12" s="16" t="s">
        <v>15</v>
      </c>
      <c r="F12" s="9">
        <v>901</v>
      </c>
      <c r="G12" s="17">
        <f>F12*12</f>
        <v>10812</v>
      </c>
      <c r="H12" s="18">
        <f>((733/12)*3)+((901/12)*7)</f>
        <v>708.83333333333326</v>
      </c>
      <c r="I12" s="18">
        <f t="shared" ref="I12:I18" si="6">(450/360*30)*9</f>
        <v>337.5</v>
      </c>
      <c r="J12" s="17">
        <v>0</v>
      </c>
      <c r="K12" s="17">
        <v>0</v>
      </c>
      <c r="L12" s="18">
        <f>+SUM(H12:K12)</f>
        <v>1046.3333333333333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s="20" customFormat="1" ht="16.5" x14ac:dyDescent="0.25">
      <c r="A13" s="12">
        <f t="shared" si="0"/>
        <v>12</v>
      </c>
      <c r="B13" s="13" t="s">
        <v>30</v>
      </c>
      <c r="C13" s="14" t="s">
        <v>13</v>
      </c>
      <c r="D13" s="15" t="s">
        <v>31</v>
      </c>
      <c r="E13" s="16">
        <v>4</v>
      </c>
      <c r="F13" s="9">
        <v>2700</v>
      </c>
      <c r="G13" s="17">
        <f t="shared" si="4"/>
        <v>32400</v>
      </c>
      <c r="H13" s="18">
        <f>225+225+225+225+225+225</f>
        <v>1350</v>
      </c>
      <c r="I13" s="18">
        <f>37.5*6</f>
        <v>225</v>
      </c>
      <c r="J13" s="17">
        <v>0</v>
      </c>
      <c r="K13" s="17">
        <v>0</v>
      </c>
      <c r="L13" s="18">
        <f t="shared" si="5"/>
        <v>1575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s="20" customFormat="1" ht="16.5" x14ac:dyDescent="0.25">
      <c r="A14" s="12">
        <f t="shared" si="0"/>
        <v>13</v>
      </c>
      <c r="B14" s="23" t="s">
        <v>32</v>
      </c>
      <c r="C14" s="14" t="s">
        <v>13</v>
      </c>
      <c r="D14" s="15" t="s">
        <v>14</v>
      </c>
      <c r="E14" s="16" t="s">
        <v>18</v>
      </c>
      <c r="F14" s="9">
        <v>901</v>
      </c>
      <c r="G14" s="17">
        <f t="shared" si="4"/>
        <v>10812</v>
      </c>
      <c r="H14" s="18">
        <f>(F14/12)*9</f>
        <v>675.75</v>
      </c>
      <c r="I14" s="18">
        <f t="shared" si="6"/>
        <v>337.5</v>
      </c>
      <c r="J14" s="17">
        <v>0</v>
      </c>
      <c r="K14" s="17">
        <v>0</v>
      </c>
      <c r="L14" s="18">
        <f t="shared" si="5"/>
        <v>1013.25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s="20" customFormat="1" ht="33" x14ac:dyDescent="0.25">
      <c r="A15" s="12">
        <f t="shared" si="0"/>
        <v>14</v>
      </c>
      <c r="B15" s="13" t="s">
        <v>33</v>
      </c>
      <c r="C15" s="14" t="s">
        <v>13</v>
      </c>
      <c r="D15" s="15" t="s">
        <v>34</v>
      </c>
      <c r="E15" s="16" t="s">
        <v>35</v>
      </c>
      <c r="F15" s="9">
        <v>1676</v>
      </c>
      <c r="G15" s="17">
        <f t="shared" si="4"/>
        <v>20112</v>
      </c>
      <c r="H15" s="18">
        <f>(F15/12)*9</f>
        <v>1257</v>
      </c>
      <c r="I15" s="18">
        <f t="shared" si="6"/>
        <v>337.5</v>
      </c>
      <c r="J15" s="17">
        <v>0</v>
      </c>
      <c r="K15" s="17">
        <v>0</v>
      </c>
      <c r="L15" s="18">
        <f t="shared" si="5"/>
        <v>1594.5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s="20" customFormat="1" ht="16.5" x14ac:dyDescent="0.25">
      <c r="A16" s="12">
        <f t="shared" si="0"/>
        <v>15</v>
      </c>
      <c r="B16" s="13" t="s">
        <v>36</v>
      </c>
      <c r="C16" s="14" t="s">
        <v>13</v>
      </c>
      <c r="D16" s="15" t="s">
        <v>14</v>
      </c>
      <c r="E16" s="16" t="s">
        <v>18</v>
      </c>
      <c r="F16" s="9">
        <v>901</v>
      </c>
      <c r="G16" s="17">
        <v>10812</v>
      </c>
      <c r="H16" s="18">
        <f>165.03+75.08+75.08+75.08+101+101+101+101+50.06</f>
        <v>844.32999999999993</v>
      </c>
      <c r="I16" s="18">
        <f t="shared" si="6"/>
        <v>337.5</v>
      </c>
      <c r="J16" s="17">
        <v>0</v>
      </c>
      <c r="K16" s="17">
        <v>0</v>
      </c>
      <c r="L16" s="18">
        <f t="shared" si="5"/>
        <v>1181.83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s="20" customFormat="1" ht="33" x14ac:dyDescent="0.25">
      <c r="A17" s="12">
        <f t="shared" si="0"/>
        <v>16</v>
      </c>
      <c r="B17" s="13" t="s">
        <v>37</v>
      </c>
      <c r="C17" s="14" t="s">
        <v>13</v>
      </c>
      <c r="D17" s="15" t="s">
        <v>14</v>
      </c>
      <c r="E17" s="16" t="s">
        <v>15</v>
      </c>
      <c r="F17" s="9">
        <v>733</v>
      </c>
      <c r="G17" s="17">
        <f t="shared" si="4"/>
        <v>8796</v>
      </c>
      <c r="H17" s="18">
        <f>(F17/12)*9</f>
        <v>549.75</v>
      </c>
      <c r="I17" s="18">
        <f t="shared" si="6"/>
        <v>337.5</v>
      </c>
      <c r="J17" s="17">
        <v>0</v>
      </c>
      <c r="K17" s="17">
        <v>0</v>
      </c>
      <c r="L17" s="18">
        <f t="shared" si="5"/>
        <v>887.25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s="20" customFormat="1" ht="15.75" customHeight="1" x14ac:dyDescent="0.25">
      <c r="A18" s="12">
        <f t="shared" si="0"/>
        <v>17</v>
      </c>
      <c r="B18" s="13" t="s">
        <v>38</v>
      </c>
      <c r="C18" s="14" t="s">
        <v>39</v>
      </c>
      <c r="D18" s="15" t="s">
        <v>26</v>
      </c>
      <c r="E18" s="16" t="s">
        <v>27</v>
      </c>
      <c r="F18" s="9">
        <v>561</v>
      </c>
      <c r="G18" s="17">
        <f t="shared" si="4"/>
        <v>6732</v>
      </c>
      <c r="H18" s="18">
        <f>(F18/12)*9</f>
        <v>420.75</v>
      </c>
      <c r="I18" s="18">
        <f t="shared" si="6"/>
        <v>337.5</v>
      </c>
      <c r="J18" s="17">
        <v>0</v>
      </c>
      <c r="K18" s="17">
        <v>0</v>
      </c>
      <c r="L18" s="18">
        <f t="shared" si="5"/>
        <v>758.25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s="20" customFormat="1" ht="15.75" customHeight="1" x14ac:dyDescent="0.25">
      <c r="A19" s="12">
        <f t="shared" si="0"/>
        <v>18</v>
      </c>
      <c r="B19" s="13" t="s">
        <v>40</v>
      </c>
      <c r="C19" s="14" t="s">
        <v>13</v>
      </c>
      <c r="D19" s="15" t="s">
        <v>31</v>
      </c>
      <c r="E19" s="16">
        <v>5</v>
      </c>
      <c r="F19" s="9">
        <v>2700</v>
      </c>
      <c r="G19" s="17">
        <f t="shared" si="4"/>
        <v>32400</v>
      </c>
      <c r="H19" s="18">
        <f>2430/12+(225*4)</f>
        <v>1102.5</v>
      </c>
      <c r="I19" s="18">
        <f>450/360*27+(37.5*4)</f>
        <v>183.75</v>
      </c>
      <c r="J19" s="17">
        <v>0</v>
      </c>
      <c r="K19" s="17">
        <v>0</v>
      </c>
      <c r="L19" s="18">
        <f t="shared" si="5"/>
        <v>1286.25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s="20" customFormat="1" ht="15.75" customHeight="1" x14ac:dyDescent="0.25">
      <c r="A20" s="12">
        <f t="shared" si="0"/>
        <v>19</v>
      </c>
      <c r="B20" s="13" t="s">
        <v>12</v>
      </c>
      <c r="C20" s="14" t="s">
        <v>13</v>
      </c>
      <c r="D20" s="15" t="s">
        <v>14</v>
      </c>
      <c r="E20" s="16" t="s">
        <v>15</v>
      </c>
      <c r="F20" s="9">
        <v>733</v>
      </c>
      <c r="G20" s="17">
        <f t="shared" si="4"/>
        <v>8796</v>
      </c>
      <c r="H20" s="18">
        <f>(F20/12)*9</f>
        <v>549.75</v>
      </c>
      <c r="I20" s="18">
        <f>(450/360*30)*9</f>
        <v>337.5</v>
      </c>
      <c r="J20" s="17">
        <v>0</v>
      </c>
      <c r="K20" s="17">
        <v>0</v>
      </c>
      <c r="L20" s="18">
        <f t="shared" si="5"/>
        <v>887.25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s="20" customFormat="1" ht="15.75" customHeight="1" x14ac:dyDescent="0.25">
      <c r="A21" s="12">
        <f t="shared" si="0"/>
        <v>20</v>
      </c>
      <c r="B21" s="13" t="s">
        <v>41</v>
      </c>
      <c r="C21" s="14" t="s">
        <v>13</v>
      </c>
      <c r="D21" s="15" t="s">
        <v>31</v>
      </c>
      <c r="E21" s="16">
        <v>5</v>
      </c>
      <c r="F21" s="9">
        <v>2700</v>
      </c>
      <c r="G21" s="17">
        <f t="shared" si="4"/>
        <v>32400</v>
      </c>
      <c r="H21" s="18">
        <f>(F21/12)*9</f>
        <v>2025</v>
      </c>
      <c r="I21" s="18">
        <f>(450/360*30)*9</f>
        <v>337.5</v>
      </c>
      <c r="J21" s="17">
        <v>0</v>
      </c>
      <c r="K21" s="17">
        <v>0</v>
      </c>
      <c r="L21" s="18">
        <f t="shared" si="5"/>
        <v>2362.5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s="20" customFormat="1" ht="15.75" customHeight="1" x14ac:dyDescent="0.25">
      <c r="A22" s="12">
        <f t="shared" si="0"/>
        <v>21</v>
      </c>
      <c r="B22" s="13" t="s">
        <v>19</v>
      </c>
      <c r="C22" s="14" t="s">
        <v>13</v>
      </c>
      <c r="D22" s="15" t="s">
        <v>14</v>
      </c>
      <c r="E22" s="16" t="s">
        <v>18</v>
      </c>
      <c r="F22" s="9">
        <v>901</v>
      </c>
      <c r="G22" s="17">
        <f>F22*12</f>
        <v>10812</v>
      </c>
      <c r="H22" s="18">
        <f>(F22/12)*9</f>
        <v>675.75</v>
      </c>
      <c r="I22" s="18">
        <f>(450/360*30)*9</f>
        <v>337.5</v>
      </c>
      <c r="J22" s="17">
        <v>0</v>
      </c>
      <c r="K22" s="17">
        <v>0</v>
      </c>
      <c r="L22" s="18">
        <f>+SUM(H22:K22)</f>
        <v>1013.25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s="20" customFormat="1" ht="15.75" customHeight="1" x14ac:dyDescent="0.3">
      <c r="A23" s="12">
        <f t="shared" si="0"/>
        <v>22</v>
      </c>
      <c r="B23" s="13" t="s">
        <v>42</v>
      </c>
      <c r="C23" s="14" t="s">
        <v>13</v>
      </c>
      <c r="D23" s="15" t="s">
        <v>14</v>
      </c>
      <c r="E23" s="24" t="s">
        <v>43</v>
      </c>
      <c r="F23" s="9">
        <v>622</v>
      </c>
      <c r="G23" s="25">
        <f>(622*4)+331.73</f>
        <v>2819.73</v>
      </c>
      <c r="H23" s="26">
        <f>27.64+51.83</f>
        <v>79.47</v>
      </c>
      <c r="I23" s="18">
        <f>20+37.5</f>
        <v>57.5</v>
      </c>
      <c r="J23" s="25">
        <v>0</v>
      </c>
      <c r="K23" s="25">
        <v>0</v>
      </c>
      <c r="L23" s="26">
        <f>H23+I23</f>
        <v>136.97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s="20" customFormat="1" ht="15.75" customHeight="1" x14ac:dyDescent="0.25">
      <c r="A24" s="12">
        <f t="shared" si="0"/>
        <v>23</v>
      </c>
      <c r="B24" s="13" t="s">
        <v>44</v>
      </c>
      <c r="C24" s="14" t="s">
        <v>13</v>
      </c>
      <c r="D24" s="15" t="s">
        <v>14</v>
      </c>
      <c r="E24" s="16" t="s">
        <v>45</v>
      </c>
      <c r="F24" s="9">
        <v>817</v>
      </c>
      <c r="G24" s="17">
        <f t="shared" si="4"/>
        <v>9804</v>
      </c>
      <c r="H24" s="18">
        <f>F24/12*9</f>
        <v>612.75</v>
      </c>
      <c r="I24" s="18">
        <f>(450/360*30)*9</f>
        <v>337.5</v>
      </c>
      <c r="J24" s="17">
        <v>0</v>
      </c>
      <c r="K24" s="17">
        <v>0</v>
      </c>
      <c r="L24" s="18">
        <f t="shared" si="5"/>
        <v>950.25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s="20" customFormat="1" ht="15.75" customHeight="1" x14ac:dyDescent="0.3">
      <c r="A25" s="12">
        <f>1+A24</f>
        <v>24</v>
      </c>
      <c r="B25" s="13" t="s">
        <v>42</v>
      </c>
      <c r="C25" s="14" t="s">
        <v>13</v>
      </c>
      <c r="D25" s="15" t="s">
        <v>14</v>
      </c>
      <c r="E25" s="24" t="s">
        <v>43</v>
      </c>
      <c r="F25" s="9">
        <v>622</v>
      </c>
      <c r="G25" s="17">
        <f t="shared" si="4"/>
        <v>7464</v>
      </c>
      <c r="H25" s="18">
        <f>F25/12</f>
        <v>51.833333333333336</v>
      </c>
      <c r="I25" s="18">
        <f>450/12</f>
        <v>37.5</v>
      </c>
      <c r="J25" s="17">
        <v>0</v>
      </c>
      <c r="K25" s="17">
        <v>0</v>
      </c>
      <c r="L25" s="18">
        <f t="shared" si="5"/>
        <v>89.333333333333343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s="20" customFormat="1" ht="15.75" customHeight="1" x14ac:dyDescent="0.25">
      <c r="A26" s="12">
        <f t="shared" si="0"/>
        <v>25</v>
      </c>
      <c r="B26" s="13" t="s">
        <v>46</v>
      </c>
      <c r="C26" s="14" t="s">
        <v>13</v>
      </c>
      <c r="D26" s="15" t="s">
        <v>14</v>
      </c>
      <c r="E26" s="16" t="s">
        <v>18</v>
      </c>
      <c r="F26" s="9">
        <v>901</v>
      </c>
      <c r="G26" s="17">
        <f t="shared" si="4"/>
        <v>10812</v>
      </c>
      <c r="H26" s="18">
        <f>F26/12*9</f>
        <v>675.75</v>
      </c>
      <c r="I26" s="18">
        <f>(450/360*30)*9</f>
        <v>337.5</v>
      </c>
      <c r="J26" s="17">
        <v>0</v>
      </c>
      <c r="K26" s="17">
        <v>0</v>
      </c>
      <c r="L26" s="18">
        <f t="shared" si="5"/>
        <v>1013.25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s="20" customFormat="1" ht="15.75" customHeight="1" x14ac:dyDescent="0.25">
      <c r="A27" s="12">
        <f t="shared" si="0"/>
        <v>26</v>
      </c>
      <c r="B27" s="13" t="s">
        <v>47</v>
      </c>
      <c r="C27" s="14" t="s">
        <v>13</v>
      </c>
      <c r="D27" s="15" t="s">
        <v>14</v>
      </c>
      <c r="E27" s="16" t="s">
        <v>48</v>
      </c>
      <c r="F27" s="9">
        <v>1086</v>
      </c>
      <c r="G27" s="17">
        <v>13032</v>
      </c>
      <c r="H27" s="18">
        <f>78.43+(90.5*8)</f>
        <v>802.43000000000006</v>
      </c>
      <c r="I27" s="18">
        <f>(450/360*26)+(37.5*8)</f>
        <v>332.5</v>
      </c>
      <c r="J27" s="17">
        <v>0</v>
      </c>
      <c r="K27" s="17">
        <v>0</v>
      </c>
      <c r="L27" s="18">
        <f t="shared" si="5"/>
        <v>1134.93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s="20" customFormat="1" ht="15.75" customHeight="1" x14ac:dyDescent="0.25">
      <c r="A28" s="12">
        <f t="shared" si="0"/>
        <v>27</v>
      </c>
      <c r="B28" s="13" t="s">
        <v>12</v>
      </c>
      <c r="C28" s="14" t="s">
        <v>13</v>
      </c>
      <c r="D28" s="15" t="s">
        <v>14</v>
      </c>
      <c r="E28" s="16" t="s">
        <v>15</v>
      </c>
      <c r="F28" s="9">
        <v>733</v>
      </c>
      <c r="G28" s="17">
        <f t="shared" si="4"/>
        <v>8796</v>
      </c>
      <c r="H28" s="18">
        <f>F28/12*9</f>
        <v>549.75</v>
      </c>
      <c r="I28" s="18">
        <f>(450/360*30)*9</f>
        <v>337.5</v>
      </c>
      <c r="J28" s="17">
        <v>0</v>
      </c>
      <c r="K28" s="17">
        <v>0</v>
      </c>
      <c r="L28" s="18">
        <f t="shared" si="5"/>
        <v>887.25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s="20" customFormat="1" ht="15.75" customHeight="1" x14ac:dyDescent="0.3">
      <c r="A29" s="12">
        <f t="shared" si="0"/>
        <v>28</v>
      </c>
      <c r="B29" s="27" t="s">
        <v>49</v>
      </c>
      <c r="C29" s="14" t="s">
        <v>13</v>
      </c>
      <c r="D29" s="15" t="s">
        <v>14</v>
      </c>
      <c r="E29" s="16" t="s">
        <v>15</v>
      </c>
      <c r="F29" s="9">
        <v>733</v>
      </c>
      <c r="G29" s="17">
        <f t="shared" si="4"/>
        <v>8796</v>
      </c>
      <c r="H29" s="18">
        <f>F29/12*8</f>
        <v>488.66666666666669</v>
      </c>
      <c r="I29" s="18">
        <f>(450/360*30)*8</f>
        <v>300</v>
      </c>
      <c r="J29" s="17">
        <v>0</v>
      </c>
      <c r="K29" s="17">
        <v>0</v>
      </c>
      <c r="L29" s="18">
        <f t="shared" ref="L29:L31" si="7">+SUM(H29:K29)</f>
        <v>788.66666666666674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s="20" customFormat="1" ht="15.75" customHeight="1" x14ac:dyDescent="0.3">
      <c r="A30" s="12">
        <f t="shared" si="0"/>
        <v>29</v>
      </c>
      <c r="B30" s="27" t="s">
        <v>50</v>
      </c>
      <c r="C30" s="14"/>
      <c r="D30" s="15" t="s">
        <v>14</v>
      </c>
      <c r="E30" s="16" t="s">
        <v>15</v>
      </c>
      <c r="F30" s="9">
        <v>733</v>
      </c>
      <c r="G30" s="17">
        <f>F30*4</f>
        <v>2932</v>
      </c>
      <c r="H30" s="18">
        <v>46.83</v>
      </c>
      <c r="I30" s="18">
        <v>28.75</v>
      </c>
      <c r="J30" s="17">
        <v>0</v>
      </c>
      <c r="K30" s="17">
        <v>0</v>
      </c>
      <c r="L30" s="18">
        <f>SUM(H30:K30)</f>
        <v>75.58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s="20" customFormat="1" ht="15.75" customHeight="1" x14ac:dyDescent="0.25">
      <c r="A31" s="12">
        <f t="shared" si="0"/>
        <v>30</v>
      </c>
      <c r="B31" s="13" t="s">
        <v>51</v>
      </c>
      <c r="C31" s="14" t="s">
        <v>13</v>
      </c>
      <c r="D31" s="15" t="s">
        <v>14</v>
      </c>
      <c r="E31" s="16" t="s">
        <v>18</v>
      </c>
      <c r="F31" s="9">
        <v>901</v>
      </c>
      <c r="G31" s="17">
        <f t="shared" si="4"/>
        <v>10812</v>
      </c>
      <c r="H31" s="18">
        <f>(810.9/12)+75.08*4</f>
        <v>367.89499999999998</v>
      </c>
      <c r="I31" s="18">
        <f>450/360*27+(37.5*4)</f>
        <v>183.75</v>
      </c>
      <c r="J31" s="17">
        <v>0</v>
      </c>
      <c r="K31" s="17">
        <v>0</v>
      </c>
      <c r="L31" s="18">
        <f t="shared" si="7"/>
        <v>551.64499999999998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s="20" customFormat="1" ht="15.75" customHeight="1" x14ac:dyDescent="0.25">
      <c r="A32" s="12">
        <f t="shared" si="0"/>
        <v>31</v>
      </c>
      <c r="B32" s="13" t="s">
        <v>52</v>
      </c>
      <c r="C32" s="14" t="s">
        <v>13</v>
      </c>
      <c r="D32" s="15" t="s">
        <v>14</v>
      </c>
      <c r="E32" s="16" t="s">
        <v>24</v>
      </c>
      <c r="F32" s="9">
        <v>1212</v>
      </c>
      <c r="G32" s="17">
        <f t="shared" si="4"/>
        <v>14544</v>
      </c>
      <c r="H32" s="18">
        <f>F32/12*5</f>
        <v>505</v>
      </c>
      <c r="I32" s="18">
        <f>37.5*5</f>
        <v>187.5</v>
      </c>
      <c r="J32" s="17">
        <v>0</v>
      </c>
      <c r="K32" s="17">
        <v>0</v>
      </c>
      <c r="L32" s="18">
        <f>+SUM(H32:K32)</f>
        <v>692.5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 s="20" customFormat="1" ht="15.75" customHeight="1" x14ac:dyDescent="0.25">
      <c r="A33" s="12">
        <f t="shared" si="0"/>
        <v>32</v>
      </c>
      <c r="B33" s="13" t="s">
        <v>53</v>
      </c>
      <c r="C33" s="14" t="s">
        <v>13</v>
      </c>
      <c r="D33" s="15" t="s">
        <v>14</v>
      </c>
      <c r="E33" s="16" t="s">
        <v>18</v>
      </c>
      <c r="F33" s="9">
        <v>901</v>
      </c>
      <c r="G33" s="17">
        <f t="shared" si="4"/>
        <v>10812</v>
      </c>
      <c r="H33" s="18">
        <f>F33/12*9</f>
        <v>675.75</v>
      </c>
      <c r="I33" s="18">
        <f t="shared" ref="I33:I34" si="8">(450/360*30)*9</f>
        <v>337.5</v>
      </c>
      <c r="J33" s="17">
        <v>0</v>
      </c>
      <c r="K33" s="17">
        <v>0</v>
      </c>
      <c r="L33" s="18">
        <f t="shared" si="5"/>
        <v>1013.25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s="20" customFormat="1" ht="15.75" customHeight="1" x14ac:dyDescent="0.25">
      <c r="A34" s="12">
        <f t="shared" si="0"/>
        <v>33</v>
      </c>
      <c r="B34" s="13" t="s">
        <v>54</v>
      </c>
      <c r="C34" s="14" t="s">
        <v>13</v>
      </c>
      <c r="D34" s="15" t="s">
        <v>31</v>
      </c>
      <c r="E34" s="16">
        <v>10</v>
      </c>
      <c r="F34" s="9">
        <v>5150</v>
      </c>
      <c r="G34" s="17">
        <f t="shared" si="4"/>
        <v>61800</v>
      </c>
      <c r="H34" s="18">
        <f>F34/12*9</f>
        <v>3862.5</v>
      </c>
      <c r="I34" s="18">
        <f t="shared" si="8"/>
        <v>337.5</v>
      </c>
      <c r="J34" s="17">
        <v>0</v>
      </c>
      <c r="K34" s="17">
        <v>0</v>
      </c>
      <c r="L34" s="18">
        <f t="shared" si="5"/>
        <v>4200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spans="1:24" s="20" customFormat="1" ht="15.75" customHeight="1" x14ac:dyDescent="0.25">
      <c r="A35" s="12">
        <f t="shared" si="0"/>
        <v>34</v>
      </c>
      <c r="B35" s="13" t="s">
        <v>55</v>
      </c>
      <c r="C35" s="14" t="s">
        <v>13</v>
      </c>
      <c r="D35" s="15" t="s">
        <v>31</v>
      </c>
      <c r="E35" s="16">
        <v>3</v>
      </c>
      <c r="F35" s="9">
        <v>2700</v>
      </c>
      <c r="G35" s="17">
        <v>32400</v>
      </c>
      <c r="H35" s="18">
        <f>90+(225*8)</f>
        <v>1890</v>
      </c>
      <c r="I35" s="18">
        <f>450/360*12+(37.5*8)</f>
        <v>315</v>
      </c>
      <c r="J35" s="17">
        <v>0</v>
      </c>
      <c r="K35" s="17">
        <v>0</v>
      </c>
      <c r="L35" s="18">
        <f t="shared" si="5"/>
        <v>2205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s="20" customFormat="1" ht="15.75" customHeight="1" x14ac:dyDescent="0.25">
      <c r="A36" s="12">
        <f t="shared" si="0"/>
        <v>35</v>
      </c>
      <c r="B36" s="13" t="s">
        <v>56</v>
      </c>
      <c r="C36" s="14" t="s">
        <v>13</v>
      </c>
      <c r="D36" s="15" t="s">
        <v>14</v>
      </c>
      <c r="E36" s="16" t="s">
        <v>18</v>
      </c>
      <c r="F36" s="9">
        <v>901</v>
      </c>
      <c r="G36" s="17">
        <f t="shared" si="4"/>
        <v>10812</v>
      </c>
      <c r="H36" s="18">
        <f>F36/12*9</f>
        <v>675.75</v>
      </c>
      <c r="I36" s="18">
        <f>(450/360*30)*9</f>
        <v>337.5</v>
      </c>
      <c r="J36" s="17">
        <v>0</v>
      </c>
      <c r="K36" s="17">
        <v>0</v>
      </c>
      <c r="L36" s="18">
        <f t="shared" si="5"/>
        <v>1013.25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s="20" customFormat="1" ht="15.75" customHeight="1" x14ac:dyDescent="0.25">
      <c r="A37" s="12">
        <f t="shared" si="0"/>
        <v>36</v>
      </c>
      <c r="B37" s="13" t="s">
        <v>57</v>
      </c>
      <c r="C37" s="14" t="s">
        <v>13</v>
      </c>
      <c r="D37" s="15" t="s">
        <v>14</v>
      </c>
      <c r="E37" s="16" t="s">
        <v>58</v>
      </c>
      <c r="F37" s="9">
        <v>585</v>
      </c>
      <c r="G37" s="17">
        <f t="shared" si="4"/>
        <v>7020</v>
      </c>
      <c r="H37" s="18">
        <f>48.75*6</f>
        <v>292.5</v>
      </c>
      <c r="I37" s="18">
        <f>37.5*6</f>
        <v>225</v>
      </c>
      <c r="J37" s="17">
        <v>0</v>
      </c>
      <c r="K37" s="17">
        <v>0</v>
      </c>
      <c r="L37" s="18">
        <f t="shared" si="5"/>
        <v>517.5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s="20" customFormat="1" ht="15.75" customHeight="1" x14ac:dyDescent="0.25">
      <c r="A38" s="12">
        <f t="shared" si="0"/>
        <v>37</v>
      </c>
      <c r="B38" s="13" t="s">
        <v>59</v>
      </c>
      <c r="C38" s="14" t="s">
        <v>13</v>
      </c>
      <c r="D38" s="15" t="s">
        <v>14</v>
      </c>
      <c r="E38" s="16" t="s">
        <v>35</v>
      </c>
      <c r="F38" s="9">
        <v>1676</v>
      </c>
      <c r="G38" s="17">
        <f t="shared" si="4"/>
        <v>20112</v>
      </c>
      <c r="H38" s="18">
        <f>F38/12*9</f>
        <v>1257</v>
      </c>
      <c r="I38" s="18">
        <f t="shared" ref="I38:I42" si="9">(450/360*30)*9</f>
        <v>337.5</v>
      </c>
      <c r="J38" s="17">
        <v>0</v>
      </c>
      <c r="K38" s="17">
        <v>0</v>
      </c>
      <c r="L38" s="18">
        <f t="shared" si="5"/>
        <v>1594.5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s="20" customFormat="1" ht="15.75" customHeight="1" x14ac:dyDescent="0.25">
      <c r="A39" s="12">
        <f t="shared" si="0"/>
        <v>38</v>
      </c>
      <c r="B39" s="13" t="s">
        <v>60</v>
      </c>
      <c r="C39" s="14" t="s">
        <v>13</v>
      </c>
      <c r="D39" s="15" t="s">
        <v>34</v>
      </c>
      <c r="E39" s="16" t="s">
        <v>48</v>
      </c>
      <c r="F39" s="9">
        <v>1086</v>
      </c>
      <c r="G39" s="17">
        <f t="shared" si="4"/>
        <v>13032</v>
      </c>
      <c r="H39" s="18">
        <f>F39/12*9</f>
        <v>814.5</v>
      </c>
      <c r="I39" s="18">
        <f t="shared" si="9"/>
        <v>337.5</v>
      </c>
      <c r="J39" s="17">
        <v>0</v>
      </c>
      <c r="K39" s="17">
        <v>0</v>
      </c>
      <c r="L39" s="18">
        <f t="shared" si="5"/>
        <v>1152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s="20" customFormat="1" ht="15.75" customHeight="1" x14ac:dyDescent="0.25">
      <c r="A40" s="12">
        <f t="shared" si="0"/>
        <v>39</v>
      </c>
      <c r="B40" s="13" t="s">
        <v>44</v>
      </c>
      <c r="C40" s="14" t="s">
        <v>13</v>
      </c>
      <c r="D40" s="15" t="s">
        <v>14</v>
      </c>
      <c r="E40" s="16" t="s">
        <v>45</v>
      </c>
      <c r="F40" s="9">
        <v>817</v>
      </c>
      <c r="G40" s="17">
        <f t="shared" si="4"/>
        <v>9804</v>
      </c>
      <c r="H40" s="18">
        <f>F40/12*9</f>
        <v>612.75</v>
      </c>
      <c r="I40" s="18">
        <f t="shared" si="9"/>
        <v>337.5</v>
      </c>
      <c r="J40" s="17">
        <v>0</v>
      </c>
      <c r="K40" s="17">
        <v>0</v>
      </c>
      <c r="L40" s="18">
        <f t="shared" si="5"/>
        <v>950.25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s="20" customFormat="1" ht="15.75" customHeight="1" x14ac:dyDescent="0.25">
      <c r="A41" s="12">
        <f t="shared" si="0"/>
        <v>40</v>
      </c>
      <c r="B41" s="13" t="s">
        <v>25</v>
      </c>
      <c r="C41" s="14" t="s">
        <v>39</v>
      </c>
      <c r="D41" s="15" t="s">
        <v>26</v>
      </c>
      <c r="E41" s="16" t="s">
        <v>27</v>
      </c>
      <c r="F41" s="9">
        <v>561</v>
      </c>
      <c r="G41" s="17">
        <f t="shared" si="4"/>
        <v>6732</v>
      </c>
      <c r="H41" s="18">
        <f>F41/12*9</f>
        <v>420.75</v>
      </c>
      <c r="I41" s="18">
        <f t="shared" si="9"/>
        <v>337.5</v>
      </c>
      <c r="J41" s="17">
        <v>0</v>
      </c>
      <c r="K41" s="17">
        <v>0</v>
      </c>
      <c r="L41" s="18">
        <f t="shared" si="5"/>
        <v>758.25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s="20" customFormat="1" ht="15.75" customHeight="1" x14ac:dyDescent="0.25">
      <c r="A42" s="12">
        <f t="shared" si="0"/>
        <v>41</v>
      </c>
      <c r="B42" s="13" t="s">
        <v>61</v>
      </c>
      <c r="C42" s="14" t="s">
        <v>13</v>
      </c>
      <c r="D42" s="15" t="s">
        <v>31</v>
      </c>
      <c r="E42" s="16">
        <v>5</v>
      </c>
      <c r="F42" s="9">
        <v>2700</v>
      </c>
      <c r="G42" s="17">
        <f t="shared" si="4"/>
        <v>32400</v>
      </c>
      <c r="H42" s="18">
        <f>F42/12*9</f>
        <v>2025</v>
      </c>
      <c r="I42" s="18">
        <f t="shared" si="9"/>
        <v>337.5</v>
      </c>
      <c r="J42" s="17">
        <v>0</v>
      </c>
      <c r="K42" s="17">
        <v>0</v>
      </c>
      <c r="L42" s="18">
        <f t="shared" si="5"/>
        <v>2362.5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s="20" customFormat="1" ht="15.75" customHeight="1" x14ac:dyDescent="0.25">
      <c r="A43" s="12">
        <f t="shared" si="0"/>
        <v>42</v>
      </c>
      <c r="B43" s="13" t="s">
        <v>62</v>
      </c>
      <c r="C43" s="14" t="s">
        <v>13</v>
      </c>
      <c r="D43" s="15" t="s">
        <v>14</v>
      </c>
      <c r="E43" s="16" t="s">
        <v>15</v>
      </c>
      <c r="F43" s="9">
        <v>733</v>
      </c>
      <c r="G43" s="17">
        <v>8796</v>
      </c>
      <c r="H43" s="18">
        <f>30.54+(61.08*9)</f>
        <v>580.26</v>
      </c>
      <c r="I43" s="18">
        <f>450/360*15+(37.5*8)</f>
        <v>318.75</v>
      </c>
      <c r="J43" s="17">
        <v>0</v>
      </c>
      <c r="K43" s="17">
        <v>0</v>
      </c>
      <c r="L43" s="18">
        <f t="shared" ref="L43:L73" si="10">+SUM(H43:K43)</f>
        <v>899.01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s="20" customFormat="1" ht="15.75" customHeight="1" x14ac:dyDescent="0.25">
      <c r="A44" s="12">
        <f t="shared" si="0"/>
        <v>43</v>
      </c>
      <c r="B44" s="13" t="s">
        <v>19</v>
      </c>
      <c r="C44" s="14" t="s">
        <v>13</v>
      </c>
      <c r="D44" s="15" t="s">
        <v>14</v>
      </c>
      <c r="E44" s="16" t="s">
        <v>18</v>
      </c>
      <c r="F44" s="9">
        <v>901</v>
      </c>
      <c r="G44" s="17">
        <f t="shared" si="4"/>
        <v>10812</v>
      </c>
      <c r="H44" s="18">
        <f>F44/12*9</f>
        <v>675.75</v>
      </c>
      <c r="I44" s="18">
        <f t="shared" ref="I44:I51" si="11">(450/360*30)*9</f>
        <v>337.5</v>
      </c>
      <c r="J44" s="17">
        <v>0</v>
      </c>
      <c r="K44" s="17">
        <v>0</v>
      </c>
      <c r="L44" s="18">
        <f t="shared" si="10"/>
        <v>1013.25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s="20" customFormat="1" ht="15.75" customHeight="1" x14ac:dyDescent="0.25">
      <c r="A45" s="12">
        <f t="shared" si="0"/>
        <v>44</v>
      </c>
      <c r="B45" s="13" t="s">
        <v>63</v>
      </c>
      <c r="C45" s="14" t="s">
        <v>13</v>
      </c>
      <c r="D45" s="15" t="s">
        <v>14</v>
      </c>
      <c r="E45" s="16" t="s">
        <v>24</v>
      </c>
      <c r="F45" s="9">
        <v>1212</v>
      </c>
      <c r="G45" s="17">
        <f t="shared" si="4"/>
        <v>14544</v>
      </c>
      <c r="H45" s="18">
        <f>F45/12*9</f>
        <v>909</v>
      </c>
      <c r="I45" s="18">
        <f t="shared" si="11"/>
        <v>337.5</v>
      </c>
      <c r="J45" s="17">
        <v>0</v>
      </c>
      <c r="K45" s="17">
        <v>0</v>
      </c>
      <c r="L45" s="18">
        <f t="shared" si="10"/>
        <v>1246.5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s="20" customFormat="1" ht="15.75" customHeight="1" x14ac:dyDescent="0.25">
      <c r="A46" s="12">
        <f t="shared" si="0"/>
        <v>45</v>
      </c>
      <c r="B46" s="13" t="s">
        <v>64</v>
      </c>
      <c r="C46" s="14" t="s">
        <v>13</v>
      </c>
      <c r="D46" s="15" t="s">
        <v>14</v>
      </c>
      <c r="E46" s="16" t="s">
        <v>35</v>
      </c>
      <c r="F46" s="9">
        <v>1676</v>
      </c>
      <c r="G46" s="17">
        <f t="shared" si="4"/>
        <v>20112</v>
      </c>
      <c r="H46" s="18">
        <f>F46/12*9</f>
        <v>1257</v>
      </c>
      <c r="I46" s="18">
        <f t="shared" si="11"/>
        <v>337.5</v>
      </c>
      <c r="J46" s="17">
        <v>0</v>
      </c>
      <c r="K46" s="17">
        <v>0</v>
      </c>
      <c r="L46" s="18">
        <f t="shared" si="10"/>
        <v>1594.5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s="20" customFormat="1" ht="15.75" customHeight="1" x14ac:dyDescent="0.25">
      <c r="A47" s="12">
        <f t="shared" si="0"/>
        <v>46</v>
      </c>
      <c r="B47" s="13" t="s">
        <v>65</v>
      </c>
      <c r="C47" s="14" t="s">
        <v>39</v>
      </c>
      <c r="D47" s="15" t="s">
        <v>26</v>
      </c>
      <c r="E47" s="16" t="s">
        <v>27</v>
      </c>
      <c r="F47" s="9">
        <v>1212</v>
      </c>
      <c r="G47" s="17">
        <f>F47*12</f>
        <v>14544</v>
      </c>
      <c r="H47" s="18">
        <f>(F47/12)*9</f>
        <v>909</v>
      </c>
      <c r="I47" s="18">
        <f t="shared" si="11"/>
        <v>337.5</v>
      </c>
      <c r="J47" s="17">
        <v>0</v>
      </c>
      <c r="K47" s="17">
        <v>0</v>
      </c>
      <c r="L47" s="18">
        <f>+SUM(H47:K47)</f>
        <v>1246.5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s="20" customFormat="1" ht="15.75" customHeight="1" x14ac:dyDescent="0.25">
      <c r="A48" s="12">
        <f t="shared" si="0"/>
        <v>47</v>
      </c>
      <c r="B48" s="13" t="s">
        <v>66</v>
      </c>
      <c r="C48" s="14" t="s">
        <v>13</v>
      </c>
      <c r="D48" s="15" t="s">
        <v>14</v>
      </c>
      <c r="E48" s="16" t="s">
        <v>45</v>
      </c>
      <c r="F48" s="9">
        <v>817</v>
      </c>
      <c r="G48" s="17">
        <f t="shared" si="4"/>
        <v>9804</v>
      </c>
      <c r="H48" s="18">
        <f>F48/12*9</f>
        <v>612.75</v>
      </c>
      <c r="I48" s="18">
        <f t="shared" si="11"/>
        <v>337.5</v>
      </c>
      <c r="J48" s="17">
        <v>0</v>
      </c>
      <c r="K48" s="17">
        <v>0</v>
      </c>
      <c r="L48" s="18">
        <f t="shared" si="10"/>
        <v>950.25</v>
      </c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s="20" customFormat="1" ht="15.75" customHeight="1" x14ac:dyDescent="0.25">
      <c r="A49" s="12">
        <f t="shared" si="0"/>
        <v>48</v>
      </c>
      <c r="B49" s="13" t="s">
        <v>67</v>
      </c>
      <c r="C49" s="14" t="s">
        <v>13</v>
      </c>
      <c r="D49" s="15" t="s">
        <v>14</v>
      </c>
      <c r="E49" s="16" t="s">
        <v>18</v>
      </c>
      <c r="F49" s="9">
        <v>901</v>
      </c>
      <c r="G49" s="17">
        <f t="shared" si="4"/>
        <v>10812</v>
      </c>
      <c r="H49" s="18">
        <f>F49/12*9</f>
        <v>675.75</v>
      </c>
      <c r="I49" s="18">
        <f t="shared" si="11"/>
        <v>337.5</v>
      </c>
      <c r="J49" s="17">
        <v>0</v>
      </c>
      <c r="K49" s="17">
        <v>0</v>
      </c>
      <c r="L49" s="18">
        <f t="shared" si="10"/>
        <v>1013.25</v>
      </c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1:24" s="20" customFormat="1" ht="15.75" customHeight="1" x14ac:dyDescent="0.25">
      <c r="A50" s="12">
        <f t="shared" si="0"/>
        <v>49</v>
      </c>
      <c r="B50" s="13" t="s">
        <v>19</v>
      </c>
      <c r="C50" s="14" t="s">
        <v>13</v>
      </c>
      <c r="D50" s="15" t="s">
        <v>14</v>
      </c>
      <c r="E50" s="16" t="s">
        <v>18</v>
      </c>
      <c r="F50" s="9">
        <v>901</v>
      </c>
      <c r="G50" s="17">
        <f>F50*12</f>
        <v>10812</v>
      </c>
      <c r="H50" s="18">
        <f>F50/12*9</f>
        <v>675.75</v>
      </c>
      <c r="I50" s="18">
        <f t="shared" si="11"/>
        <v>337.5</v>
      </c>
      <c r="J50" s="17">
        <v>0</v>
      </c>
      <c r="K50" s="17">
        <v>0</v>
      </c>
      <c r="L50" s="18">
        <f t="shared" si="10"/>
        <v>1013.25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1:24" s="20" customFormat="1" ht="15.75" customHeight="1" x14ac:dyDescent="0.25">
      <c r="A51" s="12">
        <f t="shared" si="0"/>
        <v>50</v>
      </c>
      <c r="B51" s="13" t="s">
        <v>68</v>
      </c>
      <c r="C51" s="14" t="s">
        <v>13</v>
      </c>
      <c r="D51" s="15" t="s">
        <v>14</v>
      </c>
      <c r="E51" s="16" t="s">
        <v>43</v>
      </c>
      <c r="F51" s="9">
        <v>622</v>
      </c>
      <c r="G51" s="17">
        <f t="shared" si="4"/>
        <v>7464</v>
      </c>
      <c r="H51" s="18">
        <f>F51/12*9</f>
        <v>466.5</v>
      </c>
      <c r="I51" s="18">
        <f t="shared" si="11"/>
        <v>337.5</v>
      </c>
      <c r="J51" s="17">
        <v>0</v>
      </c>
      <c r="K51" s="17">
        <v>0</v>
      </c>
      <c r="L51" s="18">
        <f t="shared" si="10"/>
        <v>804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1:24" s="20" customFormat="1" ht="15.75" customHeight="1" x14ac:dyDescent="0.25">
      <c r="A52" s="12">
        <f t="shared" si="0"/>
        <v>51</v>
      </c>
      <c r="B52" s="13" t="s">
        <v>69</v>
      </c>
      <c r="C52" s="14" t="s">
        <v>13</v>
      </c>
      <c r="D52" s="15" t="s">
        <v>14</v>
      </c>
      <c r="E52" s="16" t="s">
        <v>58</v>
      </c>
      <c r="F52" s="9">
        <v>585</v>
      </c>
      <c r="G52" s="17">
        <v>7020</v>
      </c>
      <c r="H52" s="18">
        <f>42.25+(48.75*8)</f>
        <v>432.25</v>
      </c>
      <c r="I52" s="18">
        <f>(450/360*26)+(37.5*8)</f>
        <v>332.5</v>
      </c>
      <c r="J52" s="17">
        <v>0</v>
      </c>
      <c r="K52" s="17">
        <v>0</v>
      </c>
      <c r="L52" s="18">
        <f t="shared" si="10"/>
        <v>764.75</v>
      </c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1:24" s="20" customFormat="1" ht="15.75" customHeight="1" x14ac:dyDescent="0.25">
      <c r="A53" s="12">
        <f t="shared" si="0"/>
        <v>52</v>
      </c>
      <c r="B53" s="13" t="s">
        <v>70</v>
      </c>
      <c r="C53" s="14" t="s">
        <v>13</v>
      </c>
      <c r="D53" s="15" t="s">
        <v>14</v>
      </c>
      <c r="E53" s="16" t="s">
        <v>35</v>
      </c>
      <c r="F53" s="9">
        <v>1676</v>
      </c>
      <c r="G53" s="17">
        <f t="shared" si="4"/>
        <v>20112</v>
      </c>
      <c r="H53" s="18">
        <f>F53/12*9</f>
        <v>1257</v>
      </c>
      <c r="I53" s="18">
        <f>(450/360*30)*9</f>
        <v>337.5</v>
      </c>
      <c r="J53" s="17">
        <v>0</v>
      </c>
      <c r="K53" s="17">
        <v>0</v>
      </c>
      <c r="L53" s="18">
        <f t="shared" si="10"/>
        <v>1594.5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1:24" s="20" customFormat="1" ht="15.75" customHeight="1" x14ac:dyDescent="0.25">
      <c r="A54" s="12">
        <v>53</v>
      </c>
      <c r="B54" s="13" t="s">
        <v>71</v>
      </c>
      <c r="C54" s="14" t="s">
        <v>13</v>
      </c>
      <c r="D54" s="15" t="s">
        <v>14</v>
      </c>
      <c r="E54" s="16" t="s">
        <v>15</v>
      </c>
      <c r="F54" s="9">
        <v>733</v>
      </c>
      <c r="G54" s="28">
        <f>(733*4)+390.93</f>
        <v>3322.93</v>
      </c>
      <c r="H54" s="18">
        <f>32.58+61.08</f>
        <v>93.66</v>
      </c>
      <c r="I54" s="18">
        <f>20+37.5</f>
        <v>57.5</v>
      </c>
      <c r="J54" s="17">
        <v>0</v>
      </c>
      <c r="K54" s="17">
        <v>0</v>
      </c>
      <c r="L54" s="18">
        <f>H54+I54</f>
        <v>151.16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1:24" s="20" customFormat="1" ht="15.75" customHeight="1" x14ac:dyDescent="0.25">
      <c r="A55" s="12">
        <v>54</v>
      </c>
      <c r="B55" s="13" t="s">
        <v>72</v>
      </c>
      <c r="C55" s="14" t="s">
        <v>13</v>
      </c>
      <c r="D55" s="15" t="s">
        <v>34</v>
      </c>
      <c r="E55" s="16" t="s">
        <v>15</v>
      </c>
      <c r="F55" s="9">
        <v>733</v>
      </c>
      <c r="G55" s="17">
        <v>8796</v>
      </c>
      <c r="H55" s="18">
        <f>30.54+(61.08*8)</f>
        <v>519.17999999999995</v>
      </c>
      <c r="I55" s="18">
        <f>450/360*15+(37.5*8)</f>
        <v>318.75</v>
      </c>
      <c r="J55" s="17">
        <v>0</v>
      </c>
      <c r="K55" s="17">
        <v>0</v>
      </c>
      <c r="L55" s="18">
        <f t="shared" ref="L55:L60" si="12">+SUM(H55:K55)</f>
        <v>837.93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1:24" s="20" customFormat="1" ht="15.75" customHeight="1" x14ac:dyDescent="0.25">
      <c r="A56" s="12">
        <f t="shared" si="0"/>
        <v>55</v>
      </c>
      <c r="B56" s="13" t="s">
        <v>73</v>
      </c>
      <c r="C56" s="14" t="s">
        <v>13</v>
      </c>
      <c r="D56" s="15" t="s">
        <v>34</v>
      </c>
      <c r="E56" s="16" t="s">
        <v>15</v>
      </c>
      <c r="F56" s="9">
        <v>733</v>
      </c>
      <c r="G56" s="17">
        <v>8796</v>
      </c>
      <c r="H56" s="18">
        <f>(635.27/12)+(F56/12)*3</f>
        <v>236.18916666666667</v>
      </c>
      <c r="I56" s="18">
        <f>(450/360*26)+37.5*3</f>
        <v>145</v>
      </c>
      <c r="J56" s="17">
        <v>0</v>
      </c>
      <c r="K56" s="17">
        <v>0</v>
      </c>
      <c r="L56" s="18">
        <f t="shared" si="12"/>
        <v>381.18916666666667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24" s="20" customFormat="1" ht="15.75" customHeight="1" x14ac:dyDescent="0.25">
      <c r="A57" s="12">
        <f t="shared" si="0"/>
        <v>56</v>
      </c>
      <c r="B57" s="13" t="s">
        <v>74</v>
      </c>
      <c r="C57" s="14" t="s">
        <v>13</v>
      </c>
      <c r="D57" s="15" t="s">
        <v>34</v>
      </c>
      <c r="E57" s="16" t="s">
        <v>24</v>
      </c>
      <c r="F57" s="9">
        <v>1212</v>
      </c>
      <c r="G57" s="17">
        <f t="shared" si="4"/>
        <v>14544</v>
      </c>
      <c r="H57" s="18">
        <f>F57/12*9</f>
        <v>909</v>
      </c>
      <c r="I57" s="18">
        <f>(450/360*30)*9</f>
        <v>337.5</v>
      </c>
      <c r="J57" s="17">
        <v>0</v>
      </c>
      <c r="K57" s="17">
        <v>0</v>
      </c>
      <c r="L57" s="18">
        <f t="shared" si="12"/>
        <v>1246.5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1:24" s="20" customFormat="1" ht="15.75" customHeight="1" x14ac:dyDescent="0.25">
      <c r="A58" s="12">
        <f t="shared" si="0"/>
        <v>57</v>
      </c>
      <c r="B58" s="13" t="s">
        <v>75</v>
      </c>
      <c r="C58" s="14" t="s">
        <v>13</v>
      </c>
      <c r="D58" s="15" t="s">
        <v>31</v>
      </c>
      <c r="E58" s="16">
        <v>5</v>
      </c>
      <c r="F58" s="9">
        <v>2500</v>
      </c>
      <c r="G58" s="17">
        <f t="shared" si="4"/>
        <v>30000</v>
      </c>
      <c r="H58" s="18">
        <f>675+(208.33*6)</f>
        <v>1924.98</v>
      </c>
      <c r="I58" s="18">
        <f>(450/360*30)*9</f>
        <v>337.5</v>
      </c>
      <c r="J58" s="17">
        <v>0</v>
      </c>
      <c r="K58" s="17">
        <v>0</v>
      </c>
      <c r="L58" s="18">
        <f t="shared" si="12"/>
        <v>2262.48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1:24" s="20" customFormat="1" ht="15.75" customHeight="1" x14ac:dyDescent="0.25">
      <c r="A59" s="12">
        <f t="shared" si="0"/>
        <v>58</v>
      </c>
      <c r="B59" s="13" t="s">
        <v>22</v>
      </c>
      <c r="C59" s="14" t="s">
        <v>13</v>
      </c>
      <c r="D59" s="15" t="s">
        <v>14</v>
      </c>
      <c r="E59" s="16" t="s">
        <v>15</v>
      </c>
      <c r="F59" s="9">
        <v>733</v>
      </c>
      <c r="G59" s="17">
        <f t="shared" si="4"/>
        <v>8796</v>
      </c>
      <c r="H59" s="18">
        <f>F59/12*9</f>
        <v>549.75</v>
      </c>
      <c r="I59" s="18">
        <f>(450/360*30)*9</f>
        <v>337.5</v>
      </c>
      <c r="J59" s="17">
        <v>0</v>
      </c>
      <c r="K59" s="17">
        <v>0</v>
      </c>
      <c r="L59" s="18">
        <f t="shared" si="12"/>
        <v>887.25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1:24" s="20" customFormat="1" ht="15.75" customHeight="1" x14ac:dyDescent="0.25">
      <c r="A60" s="12">
        <f t="shared" si="0"/>
        <v>59</v>
      </c>
      <c r="B60" s="13" t="s">
        <v>76</v>
      </c>
      <c r="C60" s="14" t="s">
        <v>13</v>
      </c>
      <c r="D60" s="15" t="s">
        <v>14</v>
      </c>
      <c r="E60" s="16" t="s">
        <v>24</v>
      </c>
      <c r="F60" s="9">
        <v>1212</v>
      </c>
      <c r="G60" s="17">
        <f t="shared" si="4"/>
        <v>14544</v>
      </c>
      <c r="H60" s="18">
        <f>90.9+(101*4)</f>
        <v>494.9</v>
      </c>
      <c r="I60" s="18">
        <f>450/360*27+(37.5*4)</f>
        <v>183.75</v>
      </c>
      <c r="J60" s="17">
        <v>0</v>
      </c>
      <c r="K60" s="17">
        <v>0</v>
      </c>
      <c r="L60" s="18">
        <f t="shared" si="12"/>
        <v>678.65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1:24" s="20" customFormat="1" ht="15.75" customHeight="1" x14ac:dyDescent="0.25">
      <c r="A61" s="12">
        <f t="shared" si="0"/>
        <v>60</v>
      </c>
      <c r="B61" s="13" t="s">
        <v>77</v>
      </c>
      <c r="C61" s="14" t="s">
        <v>13</v>
      </c>
      <c r="D61" s="15" t="s">
        <v>14</v>
      </c>
      <c r="E61" s="16" t="s">
        <v>18</v>
      </c>
      <c r="F61" s="9">
        <v>901</v>
      </c>
      <c r="G61" s="17">
        <f t="shared" si="4"/>
        <v>10812</v>
      </c>
      <c r="H61" s="18">
        <f>F61/12*9</f>
        <v>675.75</v>
      </c>
      <c r="I61" s="18">
        <f>(450/360*30)*9</f>
        <v>337.5</v>
      </c>
      <c r="J61" s="17">
        <v>0</v>
      </c>
      <c r="K61" s="17">
        <v>0</v>
      </c>
      <c r="L61" s="18">
        <f t="shared" si="10"/>
        <v>1013.25</v>
      </c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4" s="20" customFormat="1" ht="15.75" customHeight="1" x14ac:dyDescent="0.25">
      <c r="A62" s="12">
        <f t="shared" si="0"/>
        <v>61</v>
      </c>
      <c r="B62" s="13" t="s">
        <v>78</v>
      </c>
      <c r="C62" s="14" t="s">
        <v>13</v>
      </c>
      <c r="D62" s="15" t="s">
        <v>14</v>
      </c>
      <c r="E62" s="16" t="s">
        <v>24</v>
      </c>
      <c r="F62" s="9">
        <v>1212</v>
      </c>
      <c r="G62" s="17">
        <f>F62*4</f>
        <v>4848</v>
      </c>
      <c r="H62" s="18">
        <f>F62/12</f>
        <v>101</v>
      </c>
      <c r="I62" s="18">
        <f>(450/360*30)*1</f>
        <v>37.5</v>
      </c>
      <c r="J62" s="17">
        <v>0</v>
      </c>
      <c r="K62" s="17">
        <v>0</v>
      </c>
      <c r="L62" s="18">
        <f t="shared" si="10"/>
        <v>138.5</v>
      </c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s="20" customFormat="1" ht="15.75" customHeight="1" x14ac:dyDescent="0.25">
      <c r="A63" s="12">
        <f t="shared" si="0"/>
        <v>62</v>
      </c>
      <c r="B63" s="13" t="s">
        <v>79</v>
      </c>
      <c r="C63" s="14" t="s">
        <v>13</v>
      </c>
      <c r="D63" s="15" t="s">
        <v>14</v>
      </c>
      <c r="E63" s="16" t="s">
        <v>35</v>
      </c>
      <c r="F63" s="9">
        <v>1676</v>
      </c>
      <c r="G63" s="17">
        <f t="shared" si="4"/>
        <v>20112</v>
      </c>
      <c r="H63" s="18">
        <f>F63/12*9</f>
        <v>1257</v>
      </c>
      <c r="I63" s="18">
        <f>(450/360*30)*9</f>
        <v>337.5</v>
      </c>
      <c r="J63" s="17">
        <v>0</v>
      </c>
      <c r="K63" s="17">
        <v>0</v>
      </c>
      <c r="L63" s="18">
        <f t="shared" si="10"/>
        <v>1594.5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4" s="20" customFormat="1" ht="15.75" customHeight="1" x14ac:dyDescent="0.3">
      <c r="A64" s="12">
        <f t="shared" si="0"/>
        <v>63</v>
      </c>
      <c r="B64" s="27" t="s">
        <v>80</v>
      </c>
      <c r="C64" s="14" t="s">
        <v>13</v>
      </c>
      <c r="D64" s="15" t="s">
        <v>31</v>
      </c>
      <c r="E64" s="16">
        <v>4</v>
      </c>
      <c r="F64" s="9">
        <v>3500</v>
      </c>
      <c r="G64" s="17">
        <v>42000</v>
      </c>
      <c r="H64" s="18">
        <f>155.56+(291.67*6)</f>
        <v>1905.58</v>
      </c>
      <c r="I64" s="18">
        <f>450/360*16+(37.5*7)</f>
        <v>282.5</v>
      </c>
      <c r="J64" s="17">
        <v>0</v>
      </c>
      <c r="K64" s="17">
        <v>0</v>
      </c>
      <c r="L64" s="18">
        <f t="shared" si="10"/>
        <v>2188.08</v>
      </c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1:24" s="20" customFormat="1" ht="15.75" customHeight="1" x14ac:dyDescent="0.25">
      <c r="A65" s="12">
        <f t="shared" si="0"/>
        <v>64</v>
      </c>
      <c r="B65" s="13" t="s">
        <v>42</v>
      </c>
      <c r="C65" s="14" t="s">
        <v>13</v>
      </c>
      <c r="D65" s="15" t="s">
        <v>14</v>
      </c>
      <c r="E65" s="16" t="s">
        <v>43</v>
      </c>
      <c r="F65" s="9">
        <v>622</v>
      </c>
      <c r="G65" s="17">
        <f t="shared" si="4"/>
        <v>7464</v>
      </c>
      <c r="H65" s="18">
        <f t="shared" ref="H65:H73" si="13">F65/12*9</f>
        <v>466.5</v>
      </c>
      <c r="I65" s="18">
        <f>(450/360*30)*9</f>
        <v>337.5</v>
      </c>
      <c r="J65" s="17">
        <v>0</v>
      </c>
      <c r="K65" s="17">
        <v>0</v>
      </c>
      <c r="L65" s="18">
        <f t="shared" si="10"/>
        <v>804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1:24" s="20" customFormat="1" ht="15.75" customHeight="1" x14ac:dyDescent="0.25">
      <c r="A66" s="12">
        <f t="shared" si="0"/>
        <v>65</v>
      </c>
      <c r="B66" s="13" t="s">
        <v>81</v>
      </c>
      <c r="C66" s="14" t="s">
        <v>13</v>
      </c>
      <c r="D66" s="15" t="s">
        <v>14</v>
      </c>
      <c r="E66" s="16" t="s">
        <v>24</v>
      </c>
      <c r="F66" s="9">
        <v>1212</v>
      </c>
      <c r="G66" s="17">
        <f t="shared" si="4"/>
        <v>14544</v>
      </c>
      <c r="H66" s="18">
        <f t="shared" si="13"/>
        <v>909</v>
      </c>
      <c r="I66" s="18">
        <f t="shared" ref="I66:I71" si="14">(450/360*30)*9</f>
        <v>337.5</v>
      </c>
      <c r="J66" s="17">
        <v>0</v>
      </c>
      <c r="K66" s="17">
        <v>0</v>
      </c>
      <c r="L66" s="18">
        <f t="shared" si="10"/>
        <v>1246.5</v>
      </c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1:24" s="20" customFormat="1" ht="15.75" customHeight="1" x14ac:dyDescent="0.25">
      <c r="A67" s="12">
        <f t="shared" si="0"/>
        <v>66</v>
      </c>
      <c r="B67" s="13" t="s">
        <v>82</v>
      </c>
      <c r="C67" s="14" t="s">
        <v>13</v>
      </c>
      <c r="D67" s="15" t="s">
        <v>14</v>
      </c>
      <c r="E67" s="16" t="s">
        <v>24</v>
      </c>
      <c r="F67" s="9">
        <v>1212</v>
      </c>
      <c r="G67" s="17">
        <f t="shared" si="4"/>
        <v>14544</v>
      </c>
      <c r="H67" s="18">
        <f t="shared" si="13"/>
        <v>909</v>
      </c>
      <c r="I67" s="18">
        <f t="shared" si="14"/>
        <v>337.5</v>
      </c>
      <c r="J67" s="17">
        <v>0</v>
      </c>
      <c r="K67" s="17">
        <v>0</v>
      </c>
      <c r="L67" s="18">
        <f t="shared" si="10"/>
        <v>1246.5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1:24" s="20" customFormat="1" ht="15.75" customHeight="1" x14ac:dyDescent="0.25">
      <c r="A68" s="12">
        <f t="shared" ref="A68:A73" si="15">1+A67</f>
        <v>67</v>
      </c>
      <c r="B68" s="13" t="s">
        <v>22</v>
      </c>
      <c r="C68" s="14" t="s">
        <v>13</v>
      </c>
      <c r="D68" s="15" t="s">
        <v>14</v>
      </c>
      <c r="E68" s="16" t="s">
        <v>15</v>
      </c>
      <c r="F68" s="9">
        <v>733</v>
      </c>
      <c r="G68" s="17">
        <f t="shared" si="4"/>
        <v>8796</v>
      </c>
      <c r="H68" s="18">
        <f t="shared" si="13"/>
        <v>549.75</v>
      </c>
      <c r="I68" s="18">
        <f t="shared" si="14"/>
        <v>337.5</v>
      </c>
      <c r="J68" s="17">
        <v>0</v>
      </c>
      <c r="K68" s="17">
        <v>0</v>
      </c>
      <c r="L68" s="18">
        <f t="shared" si="10"/>
        <v>887.25</v>
      </c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1:24" s="20" customFormat="1" ht="15.75" customHeight="1" x14ac:dyDescent="0.25">
      <c r="A69" s="12">
        <f t="shared" si="15"/>
        <v>68</v>
      </c>
      <c r="B69" s="13" t="s">
        <v>83</v>
      </c>
      <c r="C69" s="14" t="s">
        <v>13</v>
      </c>
      <c r="D69" s="15" t="s">
        <v>14</v>
      </c>
      <c r="E69" s="16" t="s">
        <v>18</v>
      </c>
      <c r="F69" s="9">
        <v>901</v>
      </c>
      <c r="G69" s="17">
        <v>10812</v>
      </c>
      <c r="H69" s="18">
        <f t="shared" si="13"/>
        <v>675.75</v>
      </c>
      <c r="I69" s="18">
        <f t="shared" si="14"/>
        <v>337.5</v>
      </c>
      <c r="J69" s="17">
        <v>0</v>
      </c>
      <c r="K69" s="17">
        <v>0</v>
      </c>
      <c r="L69" s="18">
        <f t="shared" si="10"/>
        <v>1013.25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1:24" s="20" customFormat="1" ht="15.75" customHeight="1" x14ac:dyDescent="0.25">
      <c r="A70" s="12">
        <f t="shared" si="15"/>
        <v>69</v>
      </c>
      <c r="B70" s="13" t="s">
        <v>84</v>
      </c>
      <c r="C70" s="14" t="s">
        <v>13</v>
      </c>
      <c r="D70" s="15" t="s">
        <v>14</v>
      </c>
      <c r="E70" s="16" t="s">
        <v>18</v>
      </c>
      <c r="F70" s="9">
        <v>901</v>
      </c>
      <c r="G70" s="17">
        <v>10812</v>
      </c>
      <c r="H70" s="18">
        <f t="shared" si="13"/>
        <v>675.75</v>
      </c>
      <c r="I70" s="18">
        <f t="shared" si="14"/>
        <v>337.5</v>
      </c>
      <c r="J70" s="17">
        <v>0</v>
      </c>
      <c r="K70" s="17">
        <v>0</v>
      </c>
      <c r="L70" s="18">
        <f t="shared" si="10"/>
        <v>1013.25</v>
      </c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4" s="20" customFormat="1" ht="15.75" customHeight="1" x14ac:dyDescent="0.25">
      <c r="A71" s="12">
        <f t="shared" si="15"/>
        <v>70</v>
      </c>
      <c r="B71" s="13" t="s">
        <v>85</v>
      </c>
      <c r="C71" s="14" t="s">
        <v>13</v>
      </c>
      <c r="D71" s="15" t="s">
        <v>14</v>
      </c>
      <c r="E71" s="16" t="s">
        <v>18</v>
      </c>
      <c r="F71" s="9">
        <v>901</v>
      </c>
      <c r="G71" s="17">
        <v>10812</v>
      </c>
      <c r="H71" s="18">
        <f t="shared" si="13"/>
        <v>675.75</v>
      </c>
      <c r="I71" s="18">
        <f t="shared" si="14"/>
        <v>337.5</v>
      </c>
      <c r="J71" s="17">
        <v>0</v>
      </c>
      <c r="K71" s="17">
        <v>0</v>
      </c>
      <c r="L71" s="18">
        <f t="shared" si="10"/>
        <v>1013.25</v>
      </c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1:24" s="20" customFormat="1" ht="15.75" customHeight="1" x14ac:dyDescent="0.25">
      <c r="A72" s="12">
        <f>1+A71</f>
        <v>71</v>
      </c>
      <c r="B72" s="13" t="s">
        <v>86</v>
      </c>
      <c r="C72" s="14" t="s">
        <v>13</v>
      </c>
      <c r="D72" s="15" t="s">
        <v>14</v>
      </c>
      <c r="E72" s="16" t="s">
        <v>48</v>
      </c>
      <c r="F72" s="9">
        <v>1086</v>
      </c>
      <c r="G72" s="17">
        <f t="shared" ref="G72:G73" si="16">F72*12</f>
        <v>13032</v>
      </c>
      <c r="H72" s="18">
        <f t="shared" si="13"/>
        <v>814.5</v>
      </c>
      <c r="I72" s="18">
        <f>(450/360*30)*9</f>
        <v>337.5</v>
      </c>
      <c r="J72" s="17">
        <v>0</v>
      </c>
      <c r="K72" s="17">
        <v>0</v>
      </c>
      <c r="L72" s="18">
        <f t="shared" si="10"/>
        <v>1152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1:24" s="20" customFormat="1" ht="15.75" customHeight="1" x14ac:dyDescent="0.25">
      <c r="A73" s="12">
        <f t="shared" si="15"/>
        <v>72</v>
      </c>
      <c r="B73" s="13" t="s">
        <v>44</v>
      </c>
      <c r="C73" s="14" t="s">
        <v>13</v>
      </c>
      <c r="D73" s="15" t="s">
        <v>14</v>
      </c>
      <c r="E73" s="16" t="s">
        <v>45</v>
      </c>
      <c r="F73" s="9">
        <v>817</v>
      </c>
      <c r="G73" s="17">
        <f t="shared" si="16"/>
        <v>9804</v>
      </c>
      <c r="H73" s="18">
        <f t="shared" si="13"/>
        <v>612.75</v>
      </c>
      <c r="I73" s="18">
        <f>(450/360*30)*9</f>
        <v>337.5</v>
      </c>
      <c r="J73" s="17">
        <v>0</v>
      </c>
      <c r="K73" s="17">
        <v>0</v>
      </c>
      <c r="L73" s="18">
        <f t="shared" si="10"/>
        <v>950.25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</sheetData>
  <pageMargins left="0.7" right="0.7" top="0.75" bottom="0.75" header="0" footer="0"/>
  <pageSetup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GUIN EPUNEMI</dc:creator>
  <cp:lastModifiedBy>HENRY GUIN EPUNEMI</cp:lastModifiedBy>
  <cp:lastPrinted>2024-01-18T21:31:06Z</cp:lastPrinted>
  <dcterms:created xsi:type="dcterms:W3CDTF">2024-01-18T21:30:56Z</dcterms:created>
  <dcterms:modified xsi:type="dcterms:W3CDTF">2024-01-18T21:31:31Z</dcterms:modified>
</cp:coreProperties>
</file>